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"/>
    </mc:Choice>
  </mc:AlternateContent>
  <xr:revisionPtr revIDLastSave="7" documentId="8_{5AAB307D-D783-4022-95F1-DD301EF3711E}" xr6:coauthVersionLast="47" xr6:coauthVersionMax="47" xr10:uidLastSave="{6FEDB6C4-51C1-491E-9BEA-48D5680CF8AE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28680" yWindow="-120" windowWidth="29040" windowHeight="175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<sst xmlns="http://schemas.openxmlformats.org/spreadsheetml/2006/main" count="645" uniqueCount="347">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</sst>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J35" sqref="J35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25807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43" t="s">
        <v>214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VLOOKUP($D$7,Parameters!$A$74:$E$75,2,FALSE)</f>
        <v>BBL</v>
      </c>
    </row>
    <row r="7" spans="2:14" ht="15" customHeight="1" x14ac:dyDescent="0.3">
      <c r="B7" s="100" t="s">
        <v>7</v>
      </c>
      <c r="C7" s="100"/>
      <c r="D7" s="143" t="s">
        <v>9</v>
      </c>
      <c r="E7" s="145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VLOOKUP($D$7,Parameters!$A$74:$E$75,3,FALSE)</f>
        <v>3</v>
      </c>
    </row>
    <row r="8" spans="2:14" ht="15" customHeight="1" x14ac:dyDescent="0.3">
      <c r="B8" s="100" t="s">
        <v>60</v>
      </c>
      <c r="C8" s="100"/>
      <c r="D8" s="143" t="s">
        <v>276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43" t="s">
        <v>130</v>
      </c>
      <c r="E9" s="145"/>
      <c r="F9" s="100"/>
      <c r="G9" s="78" t="str">
        <f>IF(N12="sprint","(Sprint-traject)","")</f>
        <v>(Sprint-traject)</v>
      </c>
      <c r="H9" s="100"/>
      <c r="I9" s="100"/>
      <c r="J9" s="100"/>
      <c r="K9" s="100"/>
      <c r="M9" s="101" t="s">
        <v>16</v>
      </c>
      <c r="N9" s="101">
        <f>VLOOKUP($D$6,Opleidingen!A2:B175,2,FALSE)</f>
        <v>4</v>
      </c>
    </row>
    <row r="10" spans="2:14" ht="15" customHeight="1" x14ac:dyDescent="0.3">
      <c r="B10" s="100" t="s">
        <v>336</v>
      </c>
      <c r="C10" s="100"/>
      <c r="D10" s="98">
        <v>45901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46203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1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sprint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25807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850</v>
      </c>
      <c r="H18" s="156"/>
      <c r="I18" s="155">
        <f>(I19+I20+I21)</f>
        <v>857.2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850</v>
      </c>
      <c r="O18" s="110">
        <f>VLOOKUP(($D$4),Parameters!$A$4:$R$71,$N$7,FALSE)</f>
        <v>850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200</v>
      </c>
      <c r="H19" s="156"/>
      <c r="I19" s="155">
        <f>IF(G19="-","-",G19*(100%+Parameters!$B$84))</f>
        <v>206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IF(ISERROR(O19),(VLOOKUP($D$9,Parameters!$A$4:$R$71,$N$7+3,FALSE)),O19)</f>
        <v>200</v>
      </c>
      <c r="O19" s="110">
        <f>VLOOKUP($D$4,Parameters!$A$4:$R$71,$N$7+3,FALSE)</f>
        <v>200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610</v>
      </c>
      <c r="H20" s="156"/>
      <c r="I20" s="155">
        <f>IF(G20="-","-",G20*(100%))</f>
        <v>610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610</v>
      </c>
      <c r="O20" s="110">
        <f>VLOOKUP($D$4,Parameters!$A$4:$R$71,$N$7+6,FALSE)</f>
        <v>610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40</v>
      </c>
      <c r="H21" s="156"/>
      <c r="I21" s="155">
        <f>IF(G21="-","-",G21*(100%+Parameters!$B$84))</f>
        <v>41.2</v>
      </c>
      <c r="J21" s="156"/>
      <c r="K21" s="105" t="s">
        <v>34</v>
      </c>
      <c r="M21" s="94" t="s">
        <v>34</v>
      </c>
      <c r="N21" s="109">
        <f>IF(ISERROR(O21),(VLOOKUP($D$9,Parameters!$A$4:$R$71,$N$7+9,FALSE)),O21)</f>
        <v>40</v>
      </c>
      <c r="O21" s="110">
        <f>VLOOKUP($D$4,Parameters!$A$4:$R$71,$N$7+9,FALSE)</f>
        <v>40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0</v>
      </c>
      <c r="H22" s="156"/>
      <c r="I22" s="155">
        <f>IF(G22="-","-",G22*(100%+Parameters!$B$84))</f>
        <v>0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0</v>
      </c>
      <c r="O22" s="110">
        <f>VLOOKUP($D$4,Parameters!$A$4:$R$71,$N$7+12,FALSE)</f>
        <v>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8</v>
      </c>
      <c r="E26" s="162">
        <f>(D26*Parameters!$B$85)/60</f>
        <v>6.666666666666667</v>
      </c>
      <c r="F26" s="163"/>
      <c r="G26" s="124">
        <f>IF($N$6="BOL",Parameters!C78,Parameters!B78)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8</v>
      </c>
      <c r="E27" s="162">
        <f>(D27*Parameters!$B$85)/60</f>
        <v>6.666666666666667</v>
      </c>
      <c r="F27" s="163"/>
      <c r="G27" s="124">
        <f>IF($N$6="BOL",Parameters!C79,Parameters!B79)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N22*(100%+Parameters!$B$84)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8</v>
      </c>
      <c r="E28" s="162">
        <f>(D28*Parameters!$B$85)/60</f>
        <v>6.666666666666667</v>
      </c>
      <c r="F28" s="163"/>
      <c r="G28" s="124">
        <f>IF($N$6="BOL",Parameters!C80,Parameters!B80)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8</v>
      </c>
      <c r="E29" s="162">
        <f>(D29*Parameters!$B$85)/60</f>
        <v>6.666666666666667</v>
      </c>
      <c r="F29" s="163"/>
      <c r="G29" s="124">
        <f>IF($N$6="BOL",Parameters!C81,Parameters!B81)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IF($N$6="BOL",N26*1000/10,IF($N$6="BBL",N26*850/10,0))*(100%+Parameters!$B$84)</f>
        <v>875.5</v>
      </c>
      <c r="O29" s="110">
        <f>N29/(100%+Parameters!$B$84)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/>
      </c>
      <c r="C32" s="113" t="s">
        <v>46</v>
      </c>
      <c r="D32" s="126">
        <v>7</v>
      </c>
      <c r="E32" s="162">
        <f>(D32*Parameters!$B$85)/60</f>
        <v>5.833333333333333</v>
      </c>
      <c r="F32" s="163"/>
      <c r="G32" s="124" t="str">
        <f>IF($N$11&gt;=2,IF($N$6="BOL",Parameters!C78,Parameters!B78),"-")</f>
        <v>-</v>
      </c>
      <c r="H32" s="125">
        <f>IF(G32&lt;&gt;"-",E32*G32,0)</f>
        <v>0</v>
      </c>
      <c r="I32" s="126">
        <v>0</v>
      </c>
      <c r="J32" s="126"/>
      <c r="K32" s="125">
        <f t="shared" ref="K32:K35" si="0">J32+I32+H32</f>
        <v>0</v>
      </c>
      <c r="M32" s="101" t="s">
        <v>47</v>
      </c>
      <c r="N32" s="109">
        <f>IF(N10-N26&gt;=10,10,N10-N26)</f>
        <v>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>
        <v>8</v>
      </c>
      <c r="E33" s="162">
        <f>(D33*Parameters!$B$85)/60</f>
        <v>6.666666666666667</v>
      </c>
      <c r="F33" s="163"/>
      <c r="G33" s="124" t="str">
        <f>IF($N$11&gt;=2,IF($N$6="BOL",Parameters!C79,Parameters!B79),"-")</f>
        <v>-</v>
      </c>
      <c r="H33" s="125">
        <f t="shared" ref="H33:H35" si="1">IF(G33&lt;&gt;"-",E33*G33,0)</f>
        <v>0</v>
      </c>
      <c r="I33" s="126">
        <v>0</v>
      </c>
      <c r="J33" s="126"/>
      <c r="K33" s="125">
        <f t="shared" si="0"/>
        <v>0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>
        <v>8</v>
      </c>
      <c r="E34" s="162">
        <f>(D34*Parameters!$B$85)/60</f>
        <v>6.666666666666667</v>
      </c>
      <c r="F34" s="163"/>
      <c r="G34" s="124" t="str">
        <f>IF($N$11&gt;=2,IF($N$6="BOL",Parameters!C80,Parameters!B80),"-")</f>
        <v>-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>
        <v>8</v>
      </c>
      <c r="E35" s="162">
        <f>(D35*Parameters!$B$85)/60</f>
        <v>6.666666666666667</v>
      </c>
      <c r="F35" s="163"/>
      <c r="G35" s="124" t="str">
        <f>IF($N$11&gt;=2,IF($N$6="BOL",Parameters!C81,Parameters!B81),"-")</f>
        <v>-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53</v>
      </c>
      <c r="N35" s="109">
        <f>IF($N$6="BOL",N32*1000/10,IF($N$6="BBL",N32*850/10,0))*(100%+Parameters!$B$84)</f>
        <v>0</v>
      </c>
      <c r="O35" s="110">
        <f>N35/(100%+Parameters!$B$84)</f>
        <v>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0</v>
      </c>
      <c r="K36" s="131">
        <f>SUM(K32:K35)</f>
        <v>0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/>
      </c>
      <c r="C38" s="113" t="s">
        <v>46</v>
      </c>
      <c r="D38" s="126">
        <v>0</v>
      </c>
      <c r="E38" s="162">
        <f>(D38*Parameters!$B$85)/60</f>
        <v>0</v>
      </c>
      <c r="F38" s="163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1"/>
      <c r="C39" s="113" t="s">
        <v>48</v>
      </c>
      <c r="D39" s="126">
        <v>0</v>
      </c>
      <c r="E39" s="162">
        <f>(D39*Parameters!$B$85)/60</f>
        <v>0</v>
      </c>
      <c r="F39" s="163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>
        <v>0</v>
      </c>
      <c r="E40" s="162">
        <f>(D40*Parameters!$B$85)/60</f>
        <v>0</v>
      </c>
      <c r="F40" s="163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0</v>
      </c>
      <c r="E41" s="162">
        <f>(D41*Parameters!$B$85)/60</f>
        <v>0</v>
      </c>
      <c r="F41" s="163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(D44*Parameters!$B$85)/60</f>
        <v>0</v>
      </c>
      <c r="F44" s="163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(D45*Parameters!$B$85)/60</f>
        <v>0</v>
      </c>
      <c r="F45" s="163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(D46*Parameters!$B$85)/60</f>
        <v>0</v>
      </c>
      <c r="F46" s="163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(D47*Parameters!$B$85)/60</f>
        <v>0</v>
      </c>
      <c r="F47" s="163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233.33333333333334</v>
      </c>
      <c r="J51" s="105">
        <f>J48+J42+J36+J30</f>
        <v>800</v>
      </c>
      <c r="K51" s="134">
        <f>K48+K42+K36+K30</f>
        <v>1033.3333333333333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Retailmanager (doorstroom + sprint)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25807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45901</v>
      </c>
      <c r="E5" s="12" t="s">
        <v>62</v>
      </c>
      <c r="F5" s="46">
        <f>Programmering!$D$11</f>
        <v>46203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0</v>
      </c>
      <c r="F14" s="29">
        <f>Programmering!K32</f>
        <v>0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0</v>
      </c>
      <c r="E15" s="29">
        <f>Programmering!J33</f>
        <v>0</v>
      </c>
      <c r="F15" s="29">
        <f>Programmering!K33</f>
        <v>0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3">
      <c r="B18" s="167" t="str">
        <f>IF(Programmering!G36="","","Totaal ")</f>
        <v/>
      </c>
      <c r="C18" s="168"/>
      <c r="D18" s="32">
        <f>Programmering!H36+Programmering!I36</f>
        <v>0</v>
      </c>
      <c r="E18" s="32">
        <f>Programmering!J36</f>
        <v>0</v>
      </c>
      <c r="F18" s="32">
        <f>Programmering!K36</f>
        <v>0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7" t="str">
        <f>IF(Programmering!G42="","","Totaal ")</f>
        <v/>
      </c>
      <c r="C24" s="168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233.33333333333334</v>
      </c>
      <c r="E32" s="52">
        <f>Programmering!J51</f>
        <v>800</v>
      </c>
      <c r="F32" s="52">
        <f>Programmering!K51</f>
        <v>1033.3333333333333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25807s</v>
      </c>
      <c r="C3" t="str">
        <f>RIGHT(Programmering!D6,LEN(Programmering!D6)-8)</f>
        <v>Retailmanager (doorstroom + sprint)</v>
      </c>
      <c r="D3">
        <f>Programmering!N9</f>
        <v>4</v>
      </c>
      <c r="E3" t="str">
        <f>Programmering!$D$7</f>
        <v>BBL</v>
      </c>
      <c r="F3">
        <f>Programmering!N8</f>
        <v>1</v>
      </c>
      <c r="G3" t="str">
        <f>Programmering!D8</f>
        <v>2024/2025</v>
      </c>
      <c r="H3" s="18">
        <f>Programmering!D10</f>
        <v>45901</v>
      </c>
      <c r="I3" s="18">
        <f>Programmering!D11</f>
        <v>46203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10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0</v>
      </c>
      <c r="Z3" s="22">
        <f>Programmering!J32</f>
        <v>0</v>
      </c>
      <c r="AA3" s="22">
        <f>Programmering!H33+Programmering!I33</f>
        <v>0</v>
      </c>
      <c r="AB3" s="22">
        <f>Programmering!J33</f>
        <v>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0</v>
      </c>
      <c r="AH3" s="22">
        <f>Programmering!J36</f>
        <v>0</v>
      </c>
      <c r="AI3" s="22">
        <f>Programmering!K36</f>
        <v>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2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2024-06-20T10:01:06Z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